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2640" yWindow="540" windowWidth="24980" windowHeight="16820" tabRatio="500" activeTab="5"/>
  </bookViews>
  <sheets>
    <sheet name="HIV-1" sheetId="1" r:id="rId1"/>
    <sheet name="HIV-2" sheetId="2" r:id="rId2"/>
    <sheet name="Haploid" sheetId="3" r:id="rId3"/>
    <sheet name="Haploid-log" sheetId="6" r:id="rId4"/>
    <sheet name="Haploid-N" sheetId="7" r:id="rId5"/>
    <sheet name="Diploid" sheetId="8" r:id="rId6"/>
  </sheets>
  <definedNames>
    <definedName name="elog" localSheetId="5">Diploid!$C$2</definedName>
    <definedName name="elog" localSheetId="4">'Haploid-N'!$C$2</definedName>
    <definedName name="elog">'Haploid-log'!$C$2</definedName>
    <definedName name="elog3" localSheetId="5">#REF!</definedName>
    <definedName name="elog3">#REF!</definedName>
    <definedName name="elogm" localSheetId="5">Diploid!$D$2</definedName>
    <definedName name="elogm" localSheetId="4">'Haploid-N'!$D$2</definedName>
    <definedName name="elogm">'Haploid-log'!$D$2</definedName>
    <definedName name="err" localSheetId="5">Diploid!$B$2</definedName>
    <definedName name="err" localSheetId="2">Haploid!$B$2</definedName>
    <definedName name="err" localSheetId="3">'Haploid-log'!$B$2</definedName>
    <definedName name="err" localSheetId="4">'Haploid-N'!$B$2</definedName>
    <definedName name="err" localSheetId="1">'HIV-2'!$B$1</definedName>
    <definedName name="err">'HIV-1'!$B$1</definedName>
    <definedName name="err_3" localSheetId="5">#REF!</definedName>
    <definedName name="err_3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8" l="1"/>
  <c r="B10" i="8"/>
  <c r="C2" i="8"/>
  <c r="B11" i="8"/>
  <c r="C33" i="8"/>
  <c r="D10" i="8"/>
  <c r="D11" i="8"/>
  <c r="C35" i="8"/>
  <c r="C36" i="8"/>
  <c r="C38" i="8"/>
  <c r="C42" i="8"/>
  <c r="C47" i="8"/>
  <c r="D33" i="8"/>
  <c r="D35" i="8"/>
  <c r="D36" i="8"/>
  <c r="D38" i="8"/>
  <c r="D42" i="8"/>
  <c r="D47" i="8"/>
  <c r="E33" i="8"/>
  <c r="E35" i="8"/>
  <c r="E36" i="8"/>
  <c r="E38" i="8"/>
  <c r="E42" i="8"/>
  <c r="E47" i="8"/>
  <c r="F33" i="8"/>
  <c r="F35" i="8"/>
  <c r="F36" i="8"/>
  <c r="F38" i="8"/>
  <c r="F42" i="8"/>
  <c r="F47" i="8"/>
  <c r="G33" i="8"/>
  <c r="G35" i="8"/>
  <c r="G36" i="8"/>
  <c r="G38" i="8"/>
  <c r="G42" i="8"/>
  <c r="G47" i="8"/>
  <c r="H33" i="8"/>
  <c r="H35" i="8"/>
  <c r="H36" i="8"/>
  <c r="H38" i="8"/>
  <c r="H42" i="8"/>
  <c r="H47" i="8"/>
  <c r="I33" i="8"/>
  <c r="I35" i="8"/>
  <c r="I36" i="8"/>
  <c r="I38" i="8"/>
  <c r="I42" i="8"/>
  <c r="I47" i="8"/>
  <c r="J33" i="8"/>
  <c r="J35" i="8"/>
  <c r="J36" i="8"/>
  <c r="J38" i="8"/>
  <c r="J42" i="8"/>
  <c r="J47" i="8"/>
  <c r="K33" i="8"/>
  <c r="K35" i="8"/>
  <c r="K36" i="8"/>
  <c r="K38" i="8"/>
  <c r="K42" i="8"/>
  <c r="K47" i="8"/>
  <c r="L33" i="8"/>
  <c r="L35" i="8"/>
  <c r="L36" i="8"/>
  <c r="L38" i="8"/>
  <c r="L42" i="8"/>
  <c r="L47" i="8"/>
  <c r="M33" i="8"/>
  <c r="M35" i="8"/>
  <c r="M36" i="8"/>
  <c r="M38" i="8"/>
  <c r="M42" i="8"/>
  <c r="M47" i="8"/>
  <c r="N33" i="8"/>
  <c r="N35" i="8"/>
  <c r="N36" i="8"/>
  <c r="N38" i="8"/>
  <c r="N42" i="8"/>
  <c r="N47" i="8"/>
  <c r="O33" i="8"/>
  <c r="O35" i="8"/>
  <c r="O36" i="8"/>
  <c r="O38" i="8"/>
  <c r="O42" i="8"/>
  <c r="O47" i="8"/>
  <c r="C39" i="8"/>
  <c r="C43" i="8"/>
  <c r="C48" i="8"/>
  <c r="D39" i="8"/>
  <c r="D43" i="8"/>
  <c r="D48" i="8"/>
  <c r="E39" i="8"/>
  <c r="E43" i="8"/>
  <c r="E48" i="8"/>
  <c r="F39" i="8"/>
  <c r="F43" i="8"/>
  <c r="F48" i="8"/>
  <c r="G39" i="8"/>
  <c r="G43" i="8"/>
  <c r="G48" i="8"/>
  <c r="H39" i="8"/>
  <c r="H43" i="8"/>
  <c r="H48" i="8"/>
  <c r="I39" i="8"/>
  <c r="I43" i="8"/>
  <c r="I48" i="8"/>
  <c r="J39" i="8"/>
  <c r="J43" i="8"/>
  <c r="J48" i="8"/>
  <c r="K39" i="8"/>
  <c r="K43" i="8"/>
  <c r="K48" i="8"/>
  <c r="L39" i="8"/>
  <c r="L43" i="8"/>
  <c r="L48" i="8"/>
  <c r="M39" i="8"/>
  <c r="M43" i="8"/>
  <c r="M48" i="8"/>
  <c r="N39" i="8"/>
  <c r="N43" i="8"/>
  <c r="N48" i="8"/>
  <c r="O39" i="8"/>
  <c r="O43" i="8"/>
  <c r="O48" i="8"/>
  <c r="C40" i="8"/>
  <c r="C44" i="8"/>
  <c r="C49" i="8"/>
  <c r="D40" i="8"/>
  <c r="D44" i="8"/>
  <c r="D49" i="8"/>
  <c r="E40" i="8"/>
  <c r="E44" i="8"/>
  <c r="E49" i="8"/>
  <c r="F40" i="8"/>
  <c r="F44" i="8"/>
  <c r="F49" i="8"/>
  <c r="G40" i="8"/>
  <c r="G44" i="8"/>
  <c r="G49" i="8"/>
  <c r="H40" i="8"/>
  <c r="H44" i="8"/>
  <c r="H49" i="8"/>
  <c r="I40" i="8"/>
  <c r="I44" i="8"/>
  <c r="I49" i="8"/>
  <c r="J40" i="8"/>
  <c r="J44" i="8"/>
  <c r="J49" i="8"/>
  <c r="K40" i="8"/>
  <c r="K44" i="8"/>
  <c r="K49" i="8"/>
  <c r="L40" i="8"/>
  <c r="L44" i="8"/>
  <c r="L49" i="8"/>
  <c r="M40" i="8"/>
  <c r="M44" i="8"/>
  <c r="M49" i="8"/>
  <c r="N40" i="8"/>
  <c r="N44" i="8"/>
  <c r="N49" i="8"/>
  <c r="O40" i="8"/>
  <c r="O44" i="8"/>
  <c r="O49" i="8"/>
  <c r="B33" i="8"/>
  <c r="B35" i="8"/>
  <c r="B36" i="8"/>
  <c r="B39" i="8"/>
  <c r="B43" i="8"/>
  <c r="B48" i="8"/>
  <c r="B40" i="8"/>
  <c r="B44" i="8"/>
  <c r="B49" i="8"/>
  <c r="B38" i="8"/>
  <c r="B42" i="8"/>
  <c r="B47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B34" i="8"/>
  <c r="C18" i="8"/>
  <c r="B18" i="8"/>
  <c r="D18" i="8"/>
  <c r="E18" i="8"/>
  <c r="C20" i="8"/>
  <c r="C21" i="8"/>
  <c r="C23" i="8"/>
  <c r="C24" i="8"/>
  <c r="D20" i="8"/>
  <c r="D21" i="8"/>
  <c r="D23" i="8"/>
  <c r="D24" i="8"/>
  <c r="B20" i="8"/>
  <c r="B21" i="8"/>
  <c r="B23" i="8"/>
  <c r="B24" i="8"/>
  <c r="E21" i="8"/>
  <c r="C10" i="8"/>
  <c r="C11" i="8"/>
  <c r="D6" i="8"/>
  <c r="C6" i="8"/>
  <c r="B6" i="8"/>
  <c r="D2" i="7"/>
  <c r="B10" i="7"/>
  <c r="B6" i="7"/>
  <c r="C6" i="7"/>
  <c r="C5" i="7"/>
  <c r="C2" i="7"/>
  <c r="C5" i="6"/>
  <c r="B5" i="6"/>
  <c r="C10" i="7"/>
  <c r="C11" i="7"/>
  <c r="C18" i="7"/>
  <c r="B11" i="7"/>
  <c r="B18" i="7"/>
  <c r="D18" i="7"/>
  <c r="C20" i="7"/>
  <c r="B20" i="7"/>
  <c r="C23" i="7"/>
  <c r="B23" i="7"/>
  <c r="D2" i="6"/>
  <c r="C10" i="6"/>
  <c r="C2" i="6"/>
  <c r="B10" i="6"/>
  <c r="D10" i="6"/>
  <c r="C14" i="6"/>
  <c r="B14" i="6"/>
  <c r="C18" i="6"/>
  <c r="B18" i="6"/>
  <c r="C9" i="6"/>
  <c r="B9" i="6"/>
  <c r="D9" i="6"/>
  <c r="C13" i="6"/>
  <c r="B13" i="6"/>
  <c r="C17" i="6"/>
  <c r="B17" i="6"/>
  <c r="C6" i="6"/>
  <c r="B6" i="6"/>
  <c r="B10" i="3"/>
  <c r="C10" i="3"/>
  <c r="D10" i="3"/>
  <c r="B14" i="3"/>
  <c r="C14" i="3"/>
  <c r="C9" i="3"/>
  <c r="B9" i="3"/>
  <c r="D9" i="3"/>
  <c r="C13" i="3"/>
  <c r="B13" i="3"/>
  <c r="C6" i="3"/>
  <c r="C18" i="3"/>
  <c r="B18" i="3"/>
  <c r="C17" i="3"/>
  <c r="B17" i="3"/>
  <c r="B11" i="2"/>
  <c r="C11" i="2"/>
  <c r="D11" i="2"/>
  <c r="B10" i="2"/>
  <c r="C10" i="2"/>
  <c r="D10" i="2"/>
  <c r="C5" i="2"/>
  <c r="B5" i="2"/>
  <c r="C8" i="2"/>
  <c r="B8" i="2"/>
  <c r="D8" i="2"/>
  <c r="C15" i="2"/>
  <c r="C19" i="2"/>
  <c r="B15" i="2"/>
  <c r="B19" i="2"/>
  <c r="C7" i="2"/>
  <c r="B7" i="2"/>
  <c r="D7" i="2"/>
  <c r="C14" i="2"/>
  <c r="C18" i="2"/>
  <c r="B14" i="2"/>
  <c r="B18" i="2"/>
  <c r="B8" i="1"/>
  <c r="C8" i="1"/>
  <c r="D8" i="1"/>
  <c r="B12" i="1"/>
  <c r="B16" i="1"/>
  <c r="C12" i="1"/>
  <c r="C16" i="1"/>
  <c r="C7" i="1"/>
  <c r="B7" i="1"/>
  <c r="D7" i="1"/>
  <c r="C11" i="1"/>
  <c r="C15" i="1"/>
  <c r="B11" i="1"/>
  <c r="B15" i="1"/>
</calcChain>
</file>

<file path=xl/sharedStrings.xml><?xml version="1.0" encoding="utf-8"?>
<sst xmlns="http://schemas.openxmlformats.org/spreadsheetml/2006/main" count="139" uniqueCount="35">
  <si>
    <t>H</t>
  </si>
  <si>
    <t>HIV+</t>
  </si>
  <si>
    <t>HIV-</t>
  </si>
  <si>
    <t>Test</t>
  </si>
  <si>
    <t>+</t>
  </si>
  <si>
    <t>-</t>
  </si>
  <si>
    <t>Error</t>
  </si>
  <si>
    <t>Sum</t>
  </si>
  <si>
    <t>Probability</t>
  </si>
  <si>
    <t>log_10((1-p)/p)</t>
  </si>
  <si>
    <t>P(H)</t>
  </si>
  <si>
    <t>D=Test</t>
  </si>
  <si>
    <t>P(H|D) =Probability</t>
  </si>
  <si>
    <t>A</t>
  </si>
  <si>
    <t>C</t>
  </si>
  <si>
    <t>D=read</t>
  </si>
  <si>
    <t>Reference</t>
  </si>
  <si>
    <t>Haploid SNP calling</t>
  </si>
  <si>
    <t>Log likelihood ratio</t>
  </si>
  <si>
    <t>Haploid SNP calling using logs of probabilities</t>
  </si>
  <si>
    <t>Haploid SNP calling using logs of probabilities and multiple reads</t>
  </si>
  <si>
    <t>D</t>
  </si>
  <si>
    <t>log_10(P(H))</t>
  </si>
  <si>
    <t>log_10(P(D|H))</t>
  </si>
  <si>
    <t>log_10(P(H|D))</t>
  </si>
  <si>
    <t>log_10(P(D_i|H))</t>
  </si>
  <si>
    <t>Diploid SNP calling using logs of probabilities and multiple reads</t>
  </si>
  <si>
    <t>AA</t>
  </si>
  <si>
    <t>AC</t>
  </si>
  <si>
    <t>CC</t>
  </si>
  <si>
    <t>Call</t>
  </si>
  <si>
    <r>
      <rPr>
        <b/>
        <sz val="12"/>
        <color theme="1"/>
        <rFont val="Symbol"/>
      </rPr>
      <t>S</t>
    </r>
    <r>
      <rPr>
        <b/>
        <sz val="12"/>
        <color theme="1"/>
        <rFont val="Calibri"/>
        <family val="2"/>
        <scheme val="minor"/>
      </rPr>
      <t xml:space="preserve"> P(D|H)P(H)</t>
    </r>
  </si>
  <si>
    <t>P(D|H)P(H)</t>
  </si>
  <si>
    <r>
      <t>log_10(</t>
    </r>
    <r>
      <rPr>
        <b/>
        <sz val="12"/>
        <color theme="1"/>
        <rFont val="Symbol"/>
      </rPr>
      <t>S</t>
    </r>
    <r>
      <rPr>
        <b/>
        <sz val="12"/>
        <color theme="1"/>
        <rFont val="Calibri"/>
        <family val="2"/>
        <scheme val="minor"/>
      </rPr>
      <t xml:space="preserve"> P(D|H)P(H))</t>
    </r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</si>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</sst>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%"/>
    <numFmt numFmtId="165" formatCode="0.0000"/>
    <numFmt numFmtId="166" formatCode="0.000"/>
    <numFmt numFmtId="167" formatCode="0.000%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Symbol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10" fontId="0" fillId="0" borderId="0" xfId="0" applyNumberFormat="1"/>
    <xf numFmtId="3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165" fontId="0" fillId="0" borderId="0" xfId="0" applyNumberFormat="1"/>
    <xf numFmtId="1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right"/>
    </xf>
    <xf numFmtId="10" fontId="0" fillId="0" borderId="0" xfId="0" applyNumberFormat="1" applyFont="1" applyAlignment="1">
      <alignment horizontal="right"/>
    </xf>
    <xf numFmtId="167" fontId="0" fillId="0" borderId="0" xfId="0" applyNumberFormat="1" applyFont="1" applyAlignment="1">
      <alignment horizontal="right"/>
    </xf>
    <xf numFmtId="167" fontId="1" fillId="0" borderId="0" xfId="0" applyNumberFormat="1" applyFont="1"/>
    <xf numFmtId="0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167" fontId="0" fillId="0" borderId="0" xfId="0" applyNumberFormat="1" applyFont="1"/>
    <xf numFmtId="10" fontId="0" fillId="3" borderId="0" xfId="0" applyNumberFormat="1" applyFill="1"/>
    <xf numFmtId="164" fontId="0" fillId="3" borderId="0" xfId="0" applyNumberFormat="1" applyFill="1"/>
    <xf numFmtId="2" fontId="0" fillId="3" borderId="0" xfId="0" applyNumberFormat="1" applyFill="1"/>
    <xf numFmtId="3" fontId="0" fillId="3" borderId="0" xfId="0" applyNumberFormat="1" applyFill="1"/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50" zoomScaleNormal="150" zoomScalePageLayoutView="150" workbookViewId="0">
      <selection activeCell="C16" sqref="C16"/>
    </sheetView>
  </sheetViews>
  <sheetFormatPr baseColWidth="10" defaultRowHeight="15" x14ac:dyDescent="0"/>
  <cols>
    <col min="1" max="1" width="15.6640625" style="5" customWidth="1"/>
    <col min="2" max="2" width="13.1640625" customWidth="1"/>
    <col min="3" max="3" width="12.6640625" bestFit="1" customWidth="1"/>
  </cols>
  <sheetData>
    <row r="1" spans="1:4">
      <c r="A1" s="5" t="s">
        <v>6</v>
      </c>
      <c r="B1" s="1">
        <v>0.01</v>
      </c>
    </row>
    <row r="3" spans="1:4" s="5" customFormat="1">
      <c r="A3" s="5" t="s">
        <v>0</v>
      </c>
      <c r="B3" s="5" t="s">
        <v>2</v>
      </c>
      <c r="C3" s="5" t="s">
        <v>1</v>
      </c>
    </row>
    <row r="4" spans="1:4">
      <c r="B4" s="2">
        <v>4000000</v>
      </c>
      <c r="C4" s="2">
        <v>1400</v>
      </c>
    </row>
    <row r="5" spans="1:4">
      <c r="B5" s="2"/>
      <c r="C5" s="2"/>
    </row>
    <row r="6" spans="1:4">
      <c r="A6" s="5" t="s">
        <v>3</v>
      </c>
      <c r="B6" s="2"/>
      <c r="C6" s="2"/>
      <c r="D6" s="5" t="s">
        <v>7</v>
      </c>
    </row>
    <row r="7" spans="1:4">
      <c r="A7" s="5" t="s">
        <v>5</v>
      </c>
      <c r="B7" s="2">
        <f>(1-err)*B4</f>
        <v>3960000</v>
      </c>
      <c r="C7" s="2">
        <f>err*C4</f>
        <v>14</v>
      </c>
      <c r="D7" s="2">
        <f>B7+C7</f>
        <v>3960014</v>
      </c>
    </row>
    <row r="8" spans="1:4">
      <c r="A8" s="5" t="s">
        <v>4</v>
      </c>
      <c r="B8" s="2">
        <f>err*B4</f>
        <v>40000</v>
      </c>
      <c r="C8" s="25">
        <f>(1-err)*C4</f>
        <v>1386</v>
      </c>
      <c r="D8" s="2">
        <f>B8+C8</f>
        <v>41386</v>
      </c>
    </row>
    <row r="10" spans="1:4">
      <c r="A10" s="5" t="s">
        <v>8</v>
      </c>
    </row>
    <row r="11" spans="1:4">
      <c r="B11" s="3">
        <f>B7/D7</f>
        <v>0.9999964646589633</v>
      </c>
      <c r="C11" s="3">
        <f>C7/D7</f>
        <v>3.5353410366731028E-6</v>
      </c>
    </row>
    <row r="12" spans="1:4">
      <c r="B12" s="3">
        <f>B8/D8</f>
        <v>0.9665104141497125</v>
      </c>
      <c r="C12" s="23">
        <f>C8/D8</f>
        <v>3.3489585850287537E-2</v>
      </c>
    </row>
    <row r="14" spans="1:4">
      <c r="A14" s="5" t="s">
        <v>9</v>
      </c>
    </row>
    <row r="15" spans="1:4">
      <c r="B15" s="4">
        <f>LOG10(B11/(1-B11))</f>
        <v>5.4515671502442355</v>
      </c>
      <c r="C15" s="4">
        <f>LOG10(C11/(1-C11))</f>
        <v>-5.451567150247274</v>
      </c>
    </row>
    <row r="16" spans="1:4">
      <c r="B16" s="4">
        <f>LOG10(B12/(1-B12))</f>
        <v>1.4602967610521751</v>
      </c>
      <c r="C16" s="24">
        <f>LOG10(C12/(1-C12))</f>
        <v>-1.4602967610521744</v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125" zoomScaleNormal="125" zoomScalePageLayoutView="125" workbookViewId="0">
      <selection activeCell="A10" sqref="A10"/>
    </sheetView>
  </sheetViews>
  <sheetFormatPr baseColWidth="10" defaultRowHeight="15" x14ac:dyDescent="0"/>
  <cols>
    <col min="1" max="1" width="15.6640625" style="5" customWidth="1"/>
    <col min="2" max="2" width="13.1640625" customWidth="1"/>
    <col min="3" max="3" width="12.6640625" bestFit="1" customWidth="1"/>
  </cols>
  <sheetData>
    <row r="1" spans="1:4">
      <c r="A1" s="5" t="s">
        <v>6</v>
      </c>
      <c r="B1" s="1">
        <v>0.01</v>
      </c>
    </row>
    <row r="3" spans="1:4" s="5" customFormat="1">
      <c r="A3" s="5" t="s">
        <v>0</v>
      </c>
      <c r="B3" s="5" t="s">
        <v>2</v>
      </c>
      <c r="C3" s="5" t="s">
        <v>1</v>
      </c>
    </row>
    <row r="4" spans="1:4">
      <c r="B4" s="2">
        <v>4000000</v>
      </c>
      <c r="C4" s="2">
        <v>1400</v>
      </c>
    </row>
    <row r="5" spans="1:4">
      <c r="A5" s="5" t="s">
        <v>10</v>
      </c>
      <c r="B5" s="1">
        <f>B4/(B4+C4)</f>
        <v>0.99965012245714002</v>
      </c>
      <c r="C5" s="1">
        <f>C4/(B4+C4)</f>
        <v>3.4987754285999899E-4</v>
      </c>
    </row>
    <row r="6" spans="1:4">
      <c r="A6" s="5" t="s">
        <v>11</v>
      </c>
      <c r="B6" s="2"/>
      <c r="C6" s="2"/>
      <c r="D6" s="5" t="s">
        <v>7</v>
      </c>
    </row>
    <row r="7" spans="1:4">
      <c r="A7" s="5" t="s">
        <v>5</v>
      </c>
      <c r="B7" s="2">
        <f>(1-err)*B4</f>
        <v>3960000</v>
      </c>
      <c r="C7" s="2">
        <f>err*C4</f>
        <v>14</v>
      </c>
      <c r="D7" s="2">
        <f>B7+C7</f>
        <v>3960014</v>
      </c>
    </row>
    <row r="8" spans="1:4">
      <c r="A8" s="5" t="s">
        <v>4</v>
      </c>
      <c r="B8" s="2">
        <f>err*B4</f>
        <v>40000</v>
      </c>
      <c r="C8" s="2">
        <f>(1-err)*C4</f>
        <v>1386</v>
      </c>
      <c r="D8" s="2">
        <f>B8+C8</f>
        <v>41386</v>
      </c>
    </row>
    <row r="9" spans="1:4" ht="16">
      <c r="A9" s="5" t="s">
        <v>32</v>
      </c>
      <c r="D9" s="5" t="s">
        <v>31</v>
      </c>
    </row>
    <row r="10" spans="1:4">
      <c r="B10" s="1">
        <f>B5*(1-err)</f>
        <v>0.98965362123256861</v>
      </c>
      <c r="C10" s="1">
        <f>C5*err</f>
        <v>3.4987754285999899E-6</v>
      </c>
      <c r="D10" s="1">
        <f>B10+C10</f>
        <v>0.98965712000799722</v>
      </c>
    </row>
    <row r="11" spans="1:4">
      <c r="B11" s="1">
        <f>B5*err</f>
        <v>9.9965012245714011E-3</v>
      </c>
      <c r="C11" s="1">
        <f>C5*(1-err)</f>
        <v>3.4637876743139897E-4</v>
      </c>
      <c r="D11" s="1">
        <f>B11+C11</f>
        <v>1.03428799920028E-2</v>
      </c>
    </row>
    <row r="13" spans="1:4">
      <c r="A13" s="5" t="s">
        <v>12</v>
      </c>
    </row>
    <row r="14" spans="1:4">
      <c r="A14" s="5" t="s">
        <v>5</v>
      </c>
      <c r="B14" s="3">
        <f>B7/D7</f>
        <v>0.9999964646589633</v>
      </c>
      <c r="C14" s="3">
        <f>C7/D7</f>
        <v>3.5353410366731028E-6</v>
      </c>
    </row>
    <row r="15" spans="1:4">
      <c r="A15" s="5" t="s">
        <v>4</v>
      </c>
      <c r="B15" s="3">
        <f>B8/D8</f>
        <v>0.9665104141497125</v>
      </c>
      <c r="C15" s="3">
        <f>C8/D8</f>
        <v>3.3489585850287537E-2</v>
      </c>
    </row>
    <row r="17" spans="1:3">
      <c r="A17" s="5" t="s">
        <v>9</v>
      </c>
    </row>
    <row r="18" spans="1:3">
      <c r="B18" s="4">
        <f>LOG10(B14/(1-B14))</f>
        <v>5.4515671502442355</v>
      </c>
      <c r="C18" s="4">
        <f>LOG10(C14/(1-C14))</f>
        <v>-5.451567150247274</v>
      </c>
    </row>
    <row r="19" spans="1:3">
      <c r="B19" s="4">
        <f>LOG10(B15/(1-B15))</f>
        <v>1.4602967610521751</v>
      </c>
      <c r="C19" s="4">
        <f>LOG10(C15/(1-C15))</f>
        <v>-1.4602967610521744</v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125" zoomScaleNormal="125" zoomScalePageLayoutView="125" workbookViewId="0">
      <selection activeCell="C24" sqref="C24"/>
    </sheetView>
  </sheetViews>
  <sheetFormatPr baseColWidth="10" defaultRowHeight="15" x14ac:dyDescent="0"/>
  <cols>
    <col min="1" max="1" width="15.6640625" style="5" customWidth="1"/>
    <col min="2" max="2" width="13.1640625" customWidth="1"/>
    <col min="3" max="3" width="12.6640625" bestFit="1" customWidth="1"/>
  </cols>
  <sheetData>
    <row r="1" spans="1:4">
      <c r="A1" s="5" t="s">
        <v>17</v>
      </c>
    </row>
    <row r="2" spans="1:4">
      <c r="A2" s="5" t="s">
        <v>6</v>
      </c>
      <c r="B2" s="1">
        <v>0.01</v>
      </c>
    </row>
    <row r="3" spans="1:4">
      <c r="A3" s="5" t="s">
        <v>16</v>
      </c>
      <c r="B3" s="6" t="s">
        <v>13</v>
      </c>
    </row>
    <row r="4" spans="1:4" s="5" customFormat="1">
      <c r="A4" s="5" t="s">
        <v>0</v>
      </c>
      <c r="B4" s="5" t="s">
        <v>13</v>
      </c>
      <c r="C4" s="5" t="s">
        <v>14</v>
      </c>
    </row>
    <row r="5" spans="1:4">
      <c r="B5" s="2"/>
      <c r="C5" s="2"/>
    </row>
    <row r="6" spans="1:4">
      <c r="A6" s="5" t="s">
        <v>10</v>
      </c>
      <c r="B6" s="1">
        <v>0.999</v>
      </c>
      <c r="C6" s="1">
        <f>1-B6</f>
        <v>1.0000000000000009E-3</v>
      </c>
    </row>
    <row r="7" spans="1:4">
      <c r="A7" s="5" t="s">
        <v>15</v>
      </c>
      <c r="B7" s="2"/>
      <c r="C7" s="2"/>
      <c r="D7" s="5"/>
    </row>
    <row r="8" spans="1:4" ht="16">
      <c r="A8" s="5" t="s">
        <v>32</v>
      </c>
      <c r="D8" s="5" t="s">
        <v>31</v>
      </c>
    </row>
    <row r="9" spans="1:4">
      <c r="A9" s="5" t="s">
        <v>13</v>
      </c>
      <c r="B9" s="1">
        <f>B6*(1-err)</f>
        <v>0.98900999999999994</v>
      </c>
      <c r="C9" s="1">
        <f>C6*err</f>
        <v>1.0000000000000009E-5</v>
      </c>
      <c r="D9" s="1">
        <f>B9+C9</f>
        <v>0.9890199999999999</v>
      </c>
    </row>
    <row r="10" spans="1:4">
      <c r="A10" s="5" t="s">
        <v>14</v>
      </c>
      <c r="B10" s="22">
        <f>B6*err</f>
        <v>9.9900000000000006E-3</v>
      </c>
      <c r="C10" s="22">
        <f>C6*(1-err)</f>
        <v>9.9000000000000086E-4</v>
      </c>
      <c r="D10" s="22">
        <f>B10+C10</f>
        <v>1.0980000000000002E-2</v>
      </c>
    </row>
    <row r="12" spans="1:4">
      <c r="A12" s="5" t="s">
        <v>12</v>
      </c>
    </row>
    <row r="13" spans="1:4">
      <c r="A13" s="5" t="s">
        <v>13</v>
      </c>
      <c r="B13" s="3">
        <f>B9/D9</f>
        <v>0.9999898889810116</v>
      </c>
      <c r="C13" s="3">
        <f>C9/D9</f>
        <v>1.0111018988493671E-5</v>
      </c>
    </row>
    <row r="14" spans="1:4">
      <c r="A14" s="5" t="s">
        <v>14</v>
      </c>
      <c r="B14" s="23">
        <f>B10/D10</f>
        <v>0.90983606557377039</v>
      </c>
      <c r="C14" s="23">
        <f>C10/D10</f>
        <v>9.0163934426229567E-2</v>
      </c>
    </row>
    <row r="16" spans="1:4">
      <c r="A16" s="5" t="s">
        <v>9</v>
      </c>
      <c r="B16" s="5" t="s">
        <v>18</v>
      </c>
    </row>
    <row r="17" spans="1:3">
      <c r="A17" s="5" t="s">
        <v>13</v>
      </c>
      <c r="B17" s="4">
        <f>LOG10(B13/(1-B13))</f>
        <v>4.9952006828275</v>
      </c>
      <c r="C17" s="4">
        <f>LOG10(C13/(1-C13))</f>
        <v>-4.9952006828235316</v>
      </c>
    </row>
    <row r="18" spans="1:3">
      <c r="A18" s="5" t="s">
        <v>14</v>
      </c>
      <c r="B18" s="24">
        <f>LOG10(B14/(1-B14))</f>
        <v>1.003930293628432</v>
      </c>
      <c r="C18" s="24">
        <f>LOG10(C14/(1-C14))</f>
        <v>-1.003930293628432</v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125" zoomScaleNormal="125" zoomScalePageLayoutView="125" workbookViewId="0">
      <selection activeCell="D9" sqref="D9"/>
    </sheetView>
  </sheetViews>
  <sheetFormatPr baseColWidth="10" defaultRowHeight="15" x14ac:dyDescent="0"/>
  <cols>
    <col min="1" max="1" width="15.6640625" style="5" customWidth="1"/>
    <col min="2" max="2" width="13.1640625" customWidth="1"/>
    <col min="3" max="3" width="12.6640625" bestFit="1" customWidth="1"/>
  </cols>
  <sheetData>
    <row r="1" spans="1:4">
      <c r="A1" s="5" t="s">
        <v>19</v>
      </c>
    </row>
    <row r="2" spans="1:4">
      <c r="A2" s="5" t="s">
        <v>6</v>
      </c>
      <c r="B2" s="1">
        <v>0.01</v>
      </c>
      <c r="C2" s="7">
        <f>LOG10(err)</f>
        <v>-2</v>
      </c>
      <c r="D2" s="7">
        <f>LOG10(1-err)</f>
        <v>-4.3648054024500883E-3</v>
      </c>
    </row>
    <row r="3" spans="1:4">
      <c r="A3" s="5" t="s">
        <v>16</v>
      </c>
      <c r="B3" s="6" t="s">
        <v>13</v>
      </c>
    </row>
    <row r="4" spans="1:4" s="5" customFormat="1">
      <c r="A4" s="5" t="s">
        <v>0</v>
      </c>
      <c r="B4" s="5" t="s">
        <v>13</v>
      </c>
      <c r="C4" s="5" t="s">
        <v>14</v>
      </c>
    </row>
    <row r="5" spans="1:4">
      <c r="A5" s="5" t="s">
        <v>10</v>
      </c>
      <c r="B5" s="1">
        <f>1-err</f>
        <v>0.99</v>
      </c>
      <c r="C5" s="1">
        <f>err</f>
        <v>0.01</v>
      </c>
    </row>
    <row r="6" spans="1:4">
      <c r="A6" s="5" t="s">
        <v>22</v>
      </c>
      <c r="B6" s="4">
        <f>LOG10(1-0.001)</f>
        <v>-4.3451177401769168E-4</v>
      </c>
      <c r="C6" s="4">
        <f>LOG10(0.001)</f>
        <v>-3</v>
      </c>
    </row>
    <row r="7" spans="1:4">
      <c r="A7" s="5" t="s">
        <v>15</v>
      </c>
      <c r="B7" s="2"/>
      <c r="C7" s="2"/>
      <c r="D7" s="5"/>
    </row>
    <row r="8" spans="1:4" ht="16">
      <c r="A8" s="5" t="s">
        <v>23</v>
      </c>
      <c r="D8" s="5" t="s">
        <v>33</v>
      </c>
    </row>
    <row r="9" spans="1:4">
      <c r="A9" s="5" t="s">
        <v>13</v>
      </c>
      <c r="B9" s="4">
        <f>B6+elogm</f>
        <v>-4.7993171764677796E-3</v>
      </c>
      <c r="C9" s="4">
        <f>C6+elog</f>
        <v>-5</v>
      </c>
      <c r="D9" s="4">
        <f>LOG10(POWER(10,B9)+POWER(10,C9))</f>
        <v>-4.7949259945149498E-3</v>
      </c>
    </row>
    <row r="10" spans="1:4">
      <c r="A10" s="5" t="s">
        <v>14</v>
      </c>
      <c r="B10" s="4">
        <f>B6+elog</f>
        <v>-2.0004345117740177</v>
      </c>
      <c r="C10" s="4">
        <f>C6+elogm</f>
        <v>-3.0043648054024499</v>
      </c>
      <c r="D10" s="4">
        <f>LOG10(POWER(10,B10)+POWER(10,C10))</f>
        <v>-1.9593976598859271</v>
      </c>
    </row>
    <row r="12" spans="1:4">
      <c r="A12" s="5" t="s">
        <v>24</v>
      </c>
    </row>
    <row r="13" spans="1:4">
      <c r="A13" s="5" t="s">
        <v>13</v>
      </c>
      <c r="B13" s="4">
        <f>B9-D9</f>
        <v>-4.3911819528298299E-6</v>
      </c>
      <c r="C13" s="4">
        <f>C9-D9</f>
        <v>-4.9952050740054847</v>
      </c>
    </row>
    <row r="14" spans="1:4">
      <c r="A14" s="5" t="s">
        <v>14</v>
      </c>
      <c r="B14" s="4">
        <f>B10-D10</f>
        <v>-4.1036851888090586E-2</v>
      </c>
      <c r="C14" s="4">
        <f>C10-D10</f>
        <v>-1.0449671455165228</v>
      </c>
    </row>
    <row r="16" spans="1:4">
      <c r="A16" s="5" t="s">
        <v>9</v>
      </c>
      <c r="B16" s="5" t="s">
        <v>18</v>
      </c>
    </row>
    <row r="17" spans="1:3">
      <c r="A17" s="5" t="s">
        <v>13</v>
      </c>
      <c r="B17" s="4">
        <f>B13-C13</f>
        <v>4.9952006828235316</v>
      </c>
      <c r="C17" s="4">
        <f>C13-B13</f>
        <v>-4.9952006828235316</v>
      </c>
    </row>
    <row r="18" spans="1:3">
      <c r="A18" s="5" t="s">
        <v>14</v>
      </c>
      <c r="B18" s="4">
        <f>B14-C14</f>
        <v>1.0039302936284322</v>
      </c>
      <c r="C18" s="4">
        <f>C14-B14</f>
        <v>-1.0039302936284322</v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125" zoomScaleNormal="125" zoomScalePageLayoutView="125" workbookViewId="0">
      <selection activeCell="D18" sqref="D18"/>
    </sheetView>
  </sheetViews>
  <sheetFormatPr baseColWidth="10" defaultRowHeight="15" x14ac:dyDescent="0"/>
  <cols>
    <col min="1" max="1" width="15.6640625" style="5" customWidth="1"/>
    <col min="2" max="2" width="13.1640625" customWidth="1"/>
    <col min="3" max="3" width="12.6640625" bestFit="1" customWidth="1"/>
  </cols>
  <sheetData>
    <row r="1" spans="1:4">
      <c r="A1" s="5" t="s">
        <v>20</v>
      </c>
    </row>
    <row r="2" spans="1:4">
      <c r="A2" s="5" t="s">
        <v>6</v>
      </c>
      <c r="B2" s="1">
        <v>0.01</v>
      </c>
      <c r="C2" s="7">
        <f>LOG10(err)</f>
        <v>-2</v>
      </c>
      <c r="D2" s="7">
        <f>LOG10(1-err)</f>
        <v>-4.3648054024500883E-3</v>
      </c>
    </row>
    <row r="3" spans="1:4">
      <c r="A3" s="5" t="s">
        <v>16</v>
      </c>
      <c r="B3" s="6" t="s">
        <v>13</v>
      </c>
    </row>
    <row r="4" spans="1:4" s="5" customFormat="1">
      <c r="A4" s="5" t="s">
        <v>0</v>
      </c>
      <c r="B4" s="10" t="s">
        <v>13</v>
      </c>
      <c r="C4" s="10" t="s">
        <v>14</v>
      </c>
    </row>
    <row r="5" spans="1:4" s="5" customFormat="1">
      <c r="A5" s="5" t="s">
        <v>10</v>
      </c>
      <c r="B5" s="11">
        <v>0.999</v>
      </c>
      <c r="C5" s="11">
        <f>1-B5</f>
        <v>1.0000000000000009E-3</v>
      </c>
    </row>
    <row r="6" spans="1:4">
      <c r="A6" s="5" t="s">
        <v>22</v>
      </c>
      <c r="B6" s="9">
        <f>LOG10(B5)</f>
        <v>-4.3451177401769168E-4</v>
      </c>
      <c r="C6" s="9">
        <f>LOG10(C5)</f>
        <v>-2.9999999999999996</v>
      </c>
    </row>
    <row r="7" spans="1:4">
      <c r="B7" s="9"/>
      <c r="C7" s="9"/>
    </row>
    <row r="8" spans="1:4">
      <c r="A8" s="5" t="s">
        <v>21</v>
      </c>
      <c r="B8" s="9"/>
      <c r="C8" s="9"/>
    </row>
    <row r="9" spans="1:4">
      <c r="A9" s="5" t="s">
        <v>25</v>
      </c>
      <c r="B9" s="9"/>
      <c r="C9" s="9"/>
    </row>
    <row r="10" spans="1:4">
      <c r="A10" s="5" t="s">
        <v>13</v>
      </c>
      <c r="B10" s="9">
        <f>elogm</f>
        <v>-4.3648054024500883E-3</v>
      </c>
      <c r="C10" s="9">
        <f>elog</f>
        <v>-2</v>
      </c>
    </row>
    <row r="11" spans="1:4">
      <c r="A11" s="5" t="s">
        <v>14</v>
      </c>
      <c r="B11" s="9">
        <f>elog</f>
        <v>-2</v>
      </c>
      <c r="C11" s="9">
        <f>elogm</f>
        <v>-4.3648054024500883E-3</v>
      </c>
    </row>
    <row r="12" spans="1:4">
      <c r="B12" s="2"/>
      <c r="C12" s="2"/>
      <c r="D12" s="5"/>
    </row>
    <row r="13" spans="1:4">
      <c r="A13" s="5" t="s">
        <v>13</v>
      </c>
      <c r="B13" s="8">
        <v>2</v>
      </c>
      <c r="C13" s="4"/>
      <c r="D13" s="4"/>
    </row>
    <row r="14" spans="1:4">
      <c r="A14" s="5" t="s">
        <v>14</v>
      </c>
      <c r="B14" s="8">
        <v>3</v>
      </c>
      <c r="C14" s="4"/>
      <c r="D14" s="4"/>
    </row>
    <row r="17" spans="1:4" ht="16">
      <c r="A17" s="5" t="s">
        <v>23</v>
      </c>
      <c r="D17" s="5" t="s">
        <v>33</v>
      </c>
    </row>
    <row r="18" spans="1:4">
      <c r="B18" s="9">
        <f>B6+$B$13*B10+$B$14*B11</f>
        <v>-6.0091641225789179</v>
      </c>
      <c r="C18" s="9">
        <f>C6+$B$13*C10+$B$14*C11</f>
        <v>-7.0130944162073501</v>
      </c>
      <c r="D18" s="9">
        <f>LOG10(POWER(10,B18)+POWER(10,C18))</f>
        <v>-5.968127270690827</v>
      </c>
    </row>
    <row r="19" spans="1:4">
      <c r="B19" s="4"/>
      <c r="C19" s="4"/>
    </row>
    <row r="20" spans="1:4">
      <c r="A20" s="5" t="s">
        <v>24</v>
      </c>
      <c r="B20" s="9">
        <f>B18-D18</f>
        <v>-4.1036851888090808E-2</v>
      </c>
      <c r="C20" s="9">
        <f>C18-D18</f>
        <v>-1.044967145516523</v>
      </c>
    </row>
    <row r="22" spans="1:4">
      <c r="A22" s="5" t="s">
        <v>9</v>
      </c>
      <c r="B22" s="5" t="s">
        <v>18</v>
      </c>
    </row>
    <row r="23" spans="1:4">
      <c r="B23" s="9">
        <f>B18-C18</f>
        <v>1.0039302936284322</v>
      </c>
      <c r="C23" s="9">
        <f>C18-B18</f>
        <v>-1.0039302936284322</v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A2" zoomScale="125" zoomScaleNormal="125" zoomScalePageLayoutView="125" workbookViewId="0">
      <selection activeCell="B18" sqref="B18"/>
    </sheetView>
  </sheetViews>
  <sheetFormatPr baseColWidth="10" defaultRowHeight="15" x14ac:dyDescent="0"/>
  <cols>
    <col min="1" max="1" width="15.6640625" style="5" customWidth="1"/>
    <col min="2" max="2" width="13.1640625" customWidth="1"/>
    <col min="3" max="3" width="12.83203125" bestFit="1" customWidth="1"/>
    <col min="4" max="15" width="12.6640625" bestFit="1" customWidth="1"/>
  </cols>
  <sheetData>
    <row r="1" spans="1:5">
      <c r="A1" s="5" t="s">
        <v>26</v>
      </c>
    </row>
    <row r="2" spans="1:5">
      <c r="A2" s="5" t="s">
        <v>6</v>
      </c>
      <c r="B2" s="1">
        <v>0.01</v>
      </c>
      <c r="C2" s="7">
        <f>LOG10(err)</f>
        <v>-2</v>
      </c>
      <c r="D2" s="7">
        <f>LOG10(1-err)</f>
        <v>-4.3648054024500883E-3</v>
      </c>
    </row>
    <row r="3" spans="1:5">
      <c r="A3" s="5" t="s">
        <v>16</v>
      </c>
      <c r="B3" s="6" t="s">
        <v>13</v>
      </c>
    </row>
    <row r="4" spans="1:5" s="5" customFormat="1">
      <c r="A4" s="5" t="s">
        <v>0</v>
      </c>
      <c r="B4" s="10" t="s">
        <v>27</v>
      </c>
      <c r="C4" s="10" t="s">
        <v>28</v>
      </c>
      <c r="D4" s="10" t="s">
        <v>29</v>
      </c>
    </row>
    <row r="5" spans="1:5" s="5" customFormat="1">
      <c r="A5" s="5" t="s">
        <v>10</v>
      </c>
      <c r="B5" s="12">
        <v>0.999</v>
      </c>
      <c r="C5" s="12">
        <v>7.5000000000000002E-4</v>
      </c>
      <c r="D5" s="21">
        <v>2.5000000000000001E-4</v>
      </c>
      <c r="E5" s="13"/>
    </row>
    <row r="6" spans="1:5">
      <c r="A6" s="5" t="s">
        <v>22</v>
      </c>
      <c r="B6" s="9">
        <f>LOG10(B5)</f>
        <v>-4.3451177401769168E-4</v>
      </c>
      <c r="C6" s="9">
        <f>LOG10(C5)</f>
        <v>-3.1249387366082999</v>
      </c>
      <c r="D6" s="9">
        <f>LOG10(D5)</f>
        <v>-3.6020599913279625</v>
      </c>
    </row>
    <row r="7" spans="1:5">
      <c r="B7" s="9"/>
      <c r="C7" s="9"/>
    </row>
    <row r="8" spans="1:5">
      <c r="A8" s="5" t="s">
        <v>21</v>
      </c>
      <c r="B8" s="9"/>
      <c r="C8" s="9"/>
    </row>
    <row r="9" spans="1:5">
      <c r="A9" s="5" t="s">
        <v>25</v>
      </c>
      <c r="B9" s="9"/>
      <c r="C9" s="9"/>
    </row>
    <row r="10" spans="1:5">
      <c r="A10" s="5" t="s">
        <v>13</v>
      </c>
      <c r="B10" s="9">
        <f>elogm</f>
        <v>-4.3648054024500883E-3</v>
      </c>
      <c r="C10" s="9">
        <f>LOG10(0.5)</f>
        <v>-0.3010299956639812</v>
      </c>
      <c r="D10" s="9">
        <f>elog</f>
        <v>-2</v>
      </c>
    </row>
    <row r="11" spans="1:5">
      <c r="A11" s="5" t="s">
        <v>14</v>
      </c>
      <c r="B11" s="9">
        <f>elog</f>
        <v>-2</v>
      </c>
      <c r="C11" s="9">
        <f>C10</f>
        <v>-0.3010299956639812</v>
      </c>
      <c r="D11" s="9">
        <f>elogm</f>
        <v>-4.3648054024500883E-3</v>
      </c>
    </row>
    <row r="12" spans="1:5">
      <c r="B12" s="2"/>
      <c r="C12" s="2"/>
      <c r="D12" s="5"/>
    </row>
    <row r="13" spans="1:5">
      <c r="A13" s="5" t="s">
        <v>13</v>
      </c>
      <c r="B13" s="8">
        <v>1</v>
      </c>
      <c r="C13" s="4"/>
      <c r="D13" s="4"/>
    </row>
    <row r="14" spans="1:5">
      <c r="A14" s="5" t="s">
        <v>14</v>
      </c>
      <c r="B14" s="8">
        <v>7</v>
      </c>
      <c r="C14" s="4"/>
      <c r="D14" s="4"/>
    </row>
    <row r="17" spans="1:15" ht="16">
      <c r="A17" s="5" t="s">
        <v>23</v>
      </c>
      <c r="E17" s="5" t="s">
        <v>33</v>
      </c>
    </row>
    <row r="18" spans="1:15">
      <c r="B18" s="9">
        <f>B6+$B$13*B10+$B$14*B11</f>
        <v>-14.004799317176468</v>
      </c>
      <c r="C18" s="9">
        <f>C6+$B$13*C10+$B$14*C11</f>
        <v>-5.5331787019201499</v>
      </c>
      <c r="D18" s="9">
        <f>D6+$B$13*D10+$B$14*D11</f>
        <v>-5.632613629145113</v>
      </c>
      <c r="E18" s="9">
        <f>LOG10(POWER(10,B18)+POWER(10,C18)+POWER(10,D18))</f>
        <v>-5.279026568215059</v>
      </c>
    </row>
    <row r="19" spans="1:15">
      <c r="B19" s="4"/>
      <c r="C19" s="4"/>
    </row>
    <row r="20" spans="1:15">
      <c r="A20" s="5" t="s">
        <v>24</v>
      </c>
      <c r="B20" s="9">
        <f>B18-E18</f>
        <v>-8.7257727489614094</v>
      </c>
      <c r="C20" s="9">
        <f>C18-E18</f>
        <v>-0.25415213370509093</v>
      </c>
      <c r="D20" s="9">
        <f>D18-E18</f>
        <v>-0.35358706093005399</v>
      </c>
    </row>
    <row r="21" spans="1:15" hidden="1">
      <c r="B21">
        <f>POWER(10,B20)</f>
        <v>1.8803004545717925E-9</v>
      </c>
      <c r="C21">
        <f t="shared" ref="C21:D21" si="0">POWER(10,C20)</f>
        <v>0.55699060049982496</v>
      </c>
      <c r="D21">
        <f t="shared" si="0"/>
        <v>0.44300939761987679</v>
      </c>
      <c r="E21">
        <f>SUM(B21:D21)</f>
        <v>1.0000000000000022</v>
      </c>
    </row>
    <row r="22" spans="1:15">
      <c r="A22" s="5" t="s">
        <v>9</v>
      </c>
      <c r="B22" s="5" t="s">
        <v>18</v>
      </c>
    </row>
    <row r="23" spans="1:15" hidden="1">
      <c r="B23" s="5">
        <f>B21/(1-B21)</f>
        <v>1.8803004581073224E-9</v>
      </c>
      <c r="C23" s="5">
        <f t="shared" ref="C23:D23" si="1">C21/(1-C21)</f>
        <v>1.2572884483449993</v>
      </c>
      <c r="D23" s="5">
        <f t="shared" si="1"/>
        <v>0.79536242752896769</v>
      </c>
    </row>
    <row r="24" spans="1:15">
      <c r="B24" s="9">
        <f>LOG10(B23)</f>
        <v>-8.7257727481448075</v>
      </c>
      <c r="C24" s="9">
        <f t="shared" ref="C24:D24" si="2">LOG10(C23)</f>
        <v>9.9434925381654216E-2</v>
      </c>
      <c r="D24" s="9">
        <f t="shared" si="2"/>
        <v>-9.9434928691061672E-2</v>
      </c>
    </row>
    <row r="30" spans="1:15">
      <c r="A30" s="5" t="s">
        <v>13</v>
      </c>
      <c r="B30">
        <v>13</v>
      </c>
      <c r="C30">
        <v>12</v>
      </c>
      <c r="D30">
        <v>11</v>
      </c>
      <c r="E30">
        <v>10</v>
      </c>
      <c r="F30">
        <v>9</v>
      </c>
      <c r="G30">
        <v>8</v>
      </c>
      <c r="H30">
        <v>7</v>
      </c>
      <c r="I30">
        <v>6</v>
      </c>
      <c r="J30">
        <v>5</v>
      </c>
      <c r="K30">
        <v>4</v>
      </c>
      <c r="L30">
        <v>3</v>
      </c>
      <c r="M30">
        <v>2</v>
      </c>
      <c r="N30">
        <v>1</v>
      </c>
      <c r="O30">
        <v>0</v>
      </c>
    </row>
    <row r="31" spans="1:15">
      <c r="A31" s="5" t="s">
        <v>14</v>
      </c>
      <c r="B31">
        <v>0</v>
      </c>
      <c r="C31">
        <v>1</v>
      </c>
      <c r="D31">
        <v>2</v>
      </c>
      <c r="E31">
        <v>3</v>
      </c>
      <c r="F31">
        <v>4</v>
      </c>
      <c r="G31">
        <v>5</v>
      </c>
      <c r="H31">
        <v>6</v>
      </c>
      <c r="I31">
        <v>7</v>
      </c>
      <c r="J31">
        <v>8</v>
      </c>
      <c r="K31">
        <v>9</v>
      </c>
      <c r="L31">
        <v>10</v>
      </c>
      <c r="M31">
        <v>11</v>
      </c>
      <c r="N31">
        <v>12</v>
      </c>
      <c r="O31">
        <v>13</v>
      </c>
    </row>
    <row r="33" spans="1:15">
      <c r="A33" s="5" t="s">
        <v>27</v>
      </c>
      <c r="B33" s="9">
        <f>$B$6+B30*$B$10+B31*$B$11</f>
        <v>-5.7176982005868834E-2</v>
      </c>
      <c r="C33" s="9">
        <f t="shared" ref="C33:O33" si="3">$B$6+C30*$B$10+C31*$B$11</f>
        <v>-2.0528121766034189</v>
      </c>
      <c r="D33" s="9">
        <f t="shared" si="3"/>
        <v>-4.048447371200969</v>
      </c>
      <c r="E33" s="9">
        <f t="shared" si="3"/>
        <v>-6.0440825657985187</v>
      </c>
      <c r="F33" s="9">
        <f t="shared" si="3"/>
        <v>-8.0397177603960692</v>
      </c>
      <c r="G33" s="9">
        <f t="shared" si="3"/>
        <v>-10.035352954993618</v>
      </c>
      <c r="H33" s="9">
        <f t="shared" si="3"/>
        <v>-12.030988149591169</v>
      </c>
      <c r="I33" s="9">
        <f t="shared" si="3"/>
        <v>-14.026623344188717</v>
      </c>
      <c r="J33" s="9">
        <f t="shared" si="3"/>
        <v>-16.022258538786268</v>
      </c>
      <c r="K33" s="9">
        <f t="shared" si="3"/>
        <v>-18.017893733383818</v>
      </c>
      <c r="L33" s="9">
        <f t="shared" si="3"/>
        <v>-20.013528927981369</v>
      </c>
      <c r="M33" s="9">
        <f t="shared" si="3"/>
        <v>-22.00916412257892</v>
      </c>
      <c r="N33" s="9">
        <f t="shared" si="3"/>
        <v>-24.004799317176467</v>
      </c>
      <c r="O33" s="9">
        <f t="shared" si="3"/>
        <v>-26.000434511774017</v>
      </c>
    </row>
    <row r="34" spans="1:15">
      <c r="A34" s="5" t="s">
        <v>28</v>
      </c>
      <c r="B34" s="9">
        <f>C6+B30*$C$10+B31*$C$11</f>
        <v>-7.0383286802400553</v>
      </c>
      <c r="C34" s="9">
        <f t="shared" ref="C34:O34" si="4">D6+C30*$C$10+C31*$C$11</f>
        <v>-7.5154499349597179</v>
      </c>
      <c r="D34" s="9">
        <f t="shared" si="4"/>
        <v>-3.9133899436317559</v>
      </c>
      <c r="E34" s="9">
        <f t="shared" si="4"/>
        <v>-3.9133899436317554</v>
      </c>
      <c r="F34" s="9">
        <f t="shared" si="4"/>
        <v>-3.9133899436317554</v>
      </c>
      <c r="G34" s="9">
        <f t="shared" si="4"/>
        <v>-3.9133899436317554</v>
      </c>
      <c r="H34" s="9">
        <f t="shared" si="4"/>
        <v>-3.9133899436317554</v>
      </c>
      <c r="I34" s="9">
        <f t="shared" si="4"/>
        <v>-3.9133899436317554</v>
      </c>
      <c r="J34" s="9">
        <f t="shared" si="4"/>
        <v>-3.9133899436317554</v>
      </c>
      <c r="K34" s="9">
        <f t="shared" si="4"/>
        <v>-3.9133899436317554</v>
      </c>
      <c r="L34" s="9">
        <f t="shared" si="4"/>
        <v>-3.9133899436317554</v>
      </c>
      <c r="M34" s="9">
        <f t="shared" si="4"/>
        <v>-3.9133899436317559</v>
      </c>
      <c r="N34" s="9">
        <f t="shared" si="4"/>
        <v>-3.9133899436317554</v>
      </c>
      <c r="O34" s="9">
        <f t="shared" si="4"/>
        <v>-3.9133899436317554</v>
      </c>
    </row>
    <row r="35" spans="1:15">
      <c r="A35" s="5" t="s">
        <v>29</v>
      </c>
      <c r="B35" s="9">
        <f>D6+B30*$D$10+B31*$D$11</f>
        <v>-29.602059991327963</v>
      </c>
      <c r="C35" s="9">
        <f t="shared" ref="C35:O35" si="5">E6+C30*$D$10+C31*$D$11</f>
        <v>-24.004364805402449</v>
      </c>
      <c r="D35" s="9">
        <f t="shared" si="5"/>
        <v>-22.008729610804899</v>
      </c>
      <c r="E35" s="9">
        <f t="shared" si="5"/>
        <v>-20.013094416207352</v>
      </c>
      <c r="F35" s="9">
        <f t="shared" si="5"/>
        <v>-18.017459221609801</v>
      </c>
      <c r="G35" s="9">
        <f t="shared" si="5"/>
        <v>-16.021824027012251</v>
      </c>
      <c r="H35" s="9">
        <f t="shared" si="5"/>
        <v>-14.0261888324147</v>
      </c>
      <c r="I35" s="9">
        <f t="shared" si="5"/>
        <v>-12.030553637817151</v>
      </c>
      <c r="J35" s="9">
        <f t="shared" si="5"/>
        <v>-10.034918443219601</v>
      </c>
      <c r="K35" s="9">
        <f t="shared" si="5"/>
        <v>-8.0392832486220502</v>
      </c>
      <c r="L35" s="9">
        <f t="shared" si="5"/>
        <v>-6.0436480540245006</v>
      </c>
      <c r="M35" s="9">
        <f t="shared" si="5"/>
        <v>-4.0480128594269509</v>
      </c>
      <c r="N35" s="9">
        <f t="shared" si="5"/>
        <v>-2.0523776648294012</v>
      </c>
      <c r="O35" s="9">
        <f t="shared" si="5"/>
        <v>-5.6742470231851146E-2</v>
      </c>
    </row>
    <row r="36" spans="1:15" ht="16">
      <c r="A36" s="5" t="s">
        <v>33</v>
      </c>
      <c r="B36" s="9">
        <f>LOG10(POWER(10,B33)+POWER(10,B34)+POWER(10,B35))</f>
        <v>-5.7176936650094053E-2</v>
      </c>
      <c r="C36" s="9">
        <f t="shared" ref="C36:O36" si="6">LOG10(POWER(10,C33)+POWER(10,C34)+POWER(10,C35))</f>
        <v>-2.0528106798653512</v>
      </c>
      <c r="D36" s="9">
        <f t="shared" si="6"/>
        <v>-3.6746596412380064</v>
      </c>
      <c r="E36" s="9">
        <f t="shared" si="6"/>
        <v>-3.9101874413046551</v>
      </c>
      <c r="F36" s="9">
        <f t="shared" si="6"/>
        <v>-3.9133574767737929</v>
      </c>
      <c r="G36" s="9">
        <f t="shared" si="6"/>
        <v>-3.9133896156712225</v>
      </c>
      <c r="H36" s="9">
        <f t="shared" si="6"/>
        <v>-3.9133899402855299</v>
      </c>
      <c r="I36" s="9">
        <f t="shared" si="6"/>
        <v>-3.9133899402822476</v>
      </c>
      <c r="J36" s="9">
        <f t="shared" si="6"/>
        <v>-3.9133896153429348</v>
      </c>
      <c r="K36" s="9">
        <f t="shared" si="6"/>
        <v>-3.9133574442756518</v>
      </c>
      <c r="L36" s="9">
        <f t="shared" si="6"/>
        <v>-3.9101842473988655</v>
      </c>
      <c r="M36" s="9">
        <f t="shared" si="6"/>
        <v>-3.6744758439109475</v>
      </c>
      <c r="N36" s="9">
        <f t="shared" si="6"/>
        <v>-2.0464374990670233</v>
      </c>
      <c r="O36" s="9">
        <f t="shared" si="6"/>
        <v>-5.6682060538289385E-2</v>
      </c>
    </row>
    <row r="37" spans="1:15" hidden="1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idden="1">
      <c r="A38" s="5" t="s">
        <v>27</v>
      </c>
      <c r="B38" s="9">
        <f>B33-B$36</f>
        <v>-4.5355774781763447E-8</v>
      </c>
      <c r="C38" s="9">
        <f t="shared" ref="C38:O38" si="7">C33-C$36</f>
        <v>-1.4967380677077813E-6</v>
      </c>
      <c r="D38" s="9">
        <f t="shared" si="7"/>
        <v>-0.37378772996296261</v>
      </c>
      <c r="E38" s="9">
        <f t="shared" si="7"/>
        <v>-2.1338951244938635</v>
      </c>
      <c r="F38" s="9">
        <f t="shared" si="7"/>
        <v>-4.1263602836222759</v>
      </c>
      <c r="G38" s="9">
        <f t="shared" si="7"/>
        <v>-6.1219633393223951</v>
      </c>
      <c r="H38" s="9">
        <f t="shared" si="7"/>
        <v>-8.1175982093056387</v>
      </c>
      <c r="I38" s="9">
        <f t="shared" si="7"/>
        <v>-10.11323340390647</v>
      </c>
      <c r="J38" s="9">
        <f t="shared" si="7"/>
        <v>-12.108868923443334</v>
      </c>
      <c r="K38" s="9">
        <f t="shared" si="7"/>
        <v>-14.104536289108166</v>
      </c>
      <c r="L38" s="9">
        <f t="shared" si="7"/>
        <v>-16.103344680582502</v>
      </c>
      <c r="M38" s="9">
        <f t="shared" si="7"/>
        <v>-18.334688278667972</v>
      </c>
      <c r="N38" s="9">
        <f t="shared" si="7"/>
        <v>-21.958361818109445</v>
      </c>
      <c r="O38" s="9">
        <f t="shared" si="7"/>
        <v>-25.943752451235728</v>
      </c>
    </row>
    <row r="39" spans="1:15" hidden="1">
      <c r="A39" s="5" t="s">
        <v>28</v>
      </c>
      <c r="B39" s="9">
        <f t="shared" ref="B39:O40" si="8">B34-B$36</f>
        <v>-6.9811517435899608</v>
      </c>
      <c r="C39" s="9">
        <f t="shared" si="8"/>
        <v>-5.4626392550943663</v>
      </c>
      <c r="D39" s="9">
        <f t="shared" si="8"/>
        <v>-0.23873030239374948</v>
      </c>
      <c r="E39" s="9">
        <f t="shared" si="8"/>
        <v>-3.2025023271002873E-3</v>
      </c>
      <c r="F39" s="9">
        <f t="shared" si="8"/>
        <v>-3.2466857962543116E-5</v>
      </c>
      <c r="G39" s="9">
        <f t="shared" si="8"/>
        <v>-3.2796053295314209E-7</v>
      </c>
      <c r="H39" s="9">
        <f t="shared" si="8"/>
        <v>-3.3462255188965173E-9</v>
      </c>
      <c r="I39" s="9">
        <f t="shared" si="8"/>
        <v>-3.3495077822465191E-9</v>
      </c>
      <c r="J39" s="9">
        <f t="shared" si="8"/>
        <v>-3.2828882057245323E-7</v>
      </c>
      <c r="K39" s="9">
        <f t="shared" si="8"/>
        <v>-3.2499356103610211E-5</v>
      </c>
      <c r="L39" s="9">
        <f t="shared" si="8"/>
        <v>-3.2056962328899097E-3</v>
      </c>
      <c r="M39" s="9">
        <f t="shared" si="8"/>
        <v>-0.23891409972080835</v>
      </c>
      <c r="N39" s="9">
        <f t="shared" si="8"/>
        <v>-1.8669524445647321</v>
      </c>
      <c r="O39" s="9">
        <f t="shared" si="8"/>
        <v>-3.856707883093466</v>
      </c>
    </row>
    <row r="40" spans="1:15" hidden="1">
      <c r="A40" s="5" t="s">
        <v>29</v>
      </c>
      <c r="B40" s="9">
        <f t="shared" si="8"/>
        <v>-29.544883054677868</v>
      </c>
      <c r="C40" s="9">
        <f t="shared" si="8"/>
        <v>-21.951554125537097</v>
      </c>
      <c r="D40" s="9">
        <f t="shared" si="8"/>
        <v>-18.334069969566894</v>
      </c>
      <c r="E40" s="9">
        <f t="shared" si="8"/>
        <v>-16.102906974902698</v>
      </c>
      <c r="F40" s="9">
        <f t="shared" si="8"/>
        <v>-14.104101744836008</v>
      </c>
      <c r="G40" s="9">
        <f t="shared" si="8"/>
        <v>-12.108434411341028</v>
      </c>
      <c r="H40" s="9">
        <f t="shared" si="8"/>
        <v>-10.11279889212917</v>
      </c>
      <c r="I40" s="9">
        <f t="shared" si="8"/>
        <v>-8.1171636975349042</v>
      </c>
      <c r="J40" s="9">
        <f t="shared" si="8"/>
        <v>-6.1215288278766664</v>
      </c>
      <c r="K40" s="9">
        <f t="shared" si="8"/>
        <v>-4.125925804346398</v>
      </c>
      <c r="L40" s="9">
        <f t="shared" si="8"/>
        <v>-2.1334638066256351</v>
      </c>
      <c r="M40" s="9">
        <f t="shared" si="8"/>
        <v>-0.37353701551600338</v>
      </c>
      <c r="N40" s="9">
        <f t="shared" si="8"/>
        <v>-5.9401657623778803E-3</v>
      </c>
      <c r="O40" s="9">
        <f t="shared" si="8"/>
        <v>-6.0409693561760958E-5</v>
      </c>
    </row>
    <row r="41" spans="1:15" ht="14" hidden="1" customHeight="1"/>
    <row r="42" spans="1:15" hidden="1">
      <c r="A42" s="5" t="s">
        <v>27</v>
      </c>
      <c r="B42" s="14">
        <f>POWER(10,B38)</f>
        <v>0.99999989556447444</v>
      </c>
      <c r="C42" s="14">
        <f t="shared" ref="C42:O42" si="9">POWER(10,C38)</f>
        <v>0.99999655363917606</v>
      </c>
      <c r="D42" s="14">
        <f t="shared" si="9"/>
        <v>0.42287525242450758</v>
      </c>
      <c r="E42" s="14">
        <f t="shared" si="9"/>
        <v>7.3469126349308099E-3</v>
      </c>
      <c r="F42" s="14">
        <f t="shared" si="9"/>
        <v>7.4754908866761795E-5</v>
      </c>
      <c r="G42" s="14">
        <f t="shared" si="9"/>
        <v>7.5515597096011792E-7</v>
      </c>
      <c r="H42" s="14">
        <f t="shared" si="9"/>
        <v>7.6278437919516968E-9</v>
      </c>
      <c r="I42" s="14">
        <f t="shared" si="9"/>
        <v>7.7048927190849E-11</v>
      </c>
      <c r="J42" s="14">
        <f t="shared" si="9"/>
        <v>7.7827140952354312E-13</v>
      </c>
      <c r="K42" s="14">
        <f t="shared" si="9"/>
        <v>7.8607450499332173E-15</v>
      </c>
      <c r="L42" s="14">
        <f t="shared" si="9"/>
        <v>7.8823428214229379E-17</v>
      </c>
      <c r="M42" s="14">
        <f t="shared" si="9"/>
        <v>4.6271302139800051E-19</v>
      </c>
      <c r="N42" s="14">
        <f t="shared" si="9"/>
        <v>1.1006219806070024E-22</v>
      </c>
      <c r="O42" s="14">
        <f t="shared" si="9"/>
        <v>1.1382759206030211E-26</v>
      </c>
    </row>
    <row r="43" spans="1:15" hidden="1">
      <c r="A43" s="5" t="s">
        <v>28</v>
      </c>
      <c r="B43" s="14">
        <f t="shared" ref="B43:O44" si="10">POWER(10,B39)</f>
        <v>1.0443552550983467E-7</v>
      </c>
      <c r="C43" s="14">
        <f t="shared" si="10"/>
        <v>3.446360824304424E-6</v>
      </c>
      <c r="D43" s="14">
        <f t="shared" si="10"/>
        <v>0.5771247475754927</v>
      </c>
      <c r="E43" s="14">
        <f t="shared" si="10"/>
        <v>0.99265308736507063</v>
      </c>
      <c r="F43" s="14">
        <f t="shared" si="10"/>
        <v>0.99992524509112646</v>
      </c>
      <c r="G43" s="14">
        <f t="shared" si="10"/>
        <v>0.99999924484325087</v>
      </c>
      <c r="H43" s="14">
        <f t="shared" si="10"/>
        <v>0.999999992295031</v>
      </c>
      <c r="I43" s="14">
        <f t="shared" si="10"/>
        <v>0.99999999228747349</v>
      </c>
      <c r="J43" s="14">
        <f t="shared" si="10"/>
        <v>0.9999992440873412</v>
      </c>
      <c r="K43" s="14">
        <f t="shared" si="10"/>
        <v>0.99992517026698813</v>
      </c>
      <c r="L43" s="14">
        <f t="shared" si="10"/>
        <v>0.99264578718301255</v>
      </c>
      <c r="M43" s="14">
        <f t="shared" si="10"/>
        <v>0.57688055487252943</v>
      </c>
      <c r="N43" s="14">
        <f t="shared" si="10"/>
        <v>1.3584621906458604E-2</v>
      </c>
      <c r="O43" s="14">
        <f t="shared" si="10"/>
        <v>1.3908878612536198E-4</v>
      </c>
    </row>
    <row r="44" spans="1:15" hidden="1">
      <c r="A44" s="5" t="s">
        <v>29</v>
      </c>
      <c r="B44" s="14">
        <f t="shared" si="10"/>
        <v>2.8517860832551919E-30</v>
      </c>
      <c r="C44" s="14">
        <f t="shared" si="10"/>
        <v>1.1180104797589946E-22</v>
      </c>
      <c r="D44" s="14">
        <f t="shared" si="10"/>
        <v>4.6337225940888658E-19</v>
      </c>
      <c r="E44" s="14">
        <f t="shared" si="10"/>
        <v>7.8902910813571718E-17</v>
      </c>
      <c r="F44" s="14">
        <f t="shared" si="10"/>
        <v>7.8686142524031014E-15</v>
      </c>
      <c r="G44" s="14">
        <f t="shared" si="10"/>
        <v>7.7905046057242084E-13</v>
      </c>
      <c r="H44" s="14">
        <f t="shared" si="10"/>
        <v>7.7126053244676056E-11</v>
      </c>
      <c r="I44" s="14">
        <f t="shared" si="10"/>
        <v>7.6354792711651828E-9</v>
      </c>
      <c r="J44" s="14">
        <f t="shared" si="10"/>
        <v>7.5591188227155786E-7</v>
      </c>
      <c r="K44" s="14">
        <f t="shared" si="10"/>
        <v>7.482973300587812E-5</v>
      </c>
      <c r="L44" s="14">
        <f t="shared" si="10"/>
        <v>7.3542128169887394E-3</v>
      </c>
      <c r="M44" s="14">
        <f t="shared" si="10"/>
        <v>0.42311944512747168</v>
      </c>
      <c r="N44" s="14">
        <f t="shared" si="10"/>
        <v>0.98641537809354163</v>
      </c>
      <c r="O44" s="14">
        <f t="shared" si="10"/>
        <v>0.99986091121387455</v>
      </c>
    </row>
    <row r="45" spans="1:15">
      <c r="A45" s="5" t="s">
        <v>34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>
      <c r="A46" s="5" t="s">
        <v>18</v>
      </c>
    </row>
    <row r="47" spans="1:15">
      <c r="A47" s="5" t="s">
        <v>27</v>
      </c>
      <c r="B47" s="15">
        <f>LOG10(B42/(1-B42))</f>
        <v>6.9811516980221189</v>
      </c>
      <c r="C47" s="15">
        <f t="shared" ref="C47:O47" si="11">LOG10(C42/(1-C42))</f>
        <v>5.4626377584016756</v>
      </c>
      <c r="D47">
        <f t="shared" si="11"/>
        <v>-0.13505742756921291</v>
      </c>
      <c r="E47">
        <f t="shared" si="11"/>
        <v>-2.1306926221667628</v>
      </c>
      <c r="F47">
        <f t="shared" si="11"/>
        <v>-4.1263278167643174</v>
      </c>
      <c r="G47">
        <f t="shared" si="11"/>
        <v>-6.121963011362201</v>
      </c>
      <c r="H47">
        <f t="shared" si="11"/>
        <v>-8.117598205992909</v>
      </c>
      <c r="I47">
        <f t="shared" si="11"/>
        <v>-10.113233403873009</v>
      </c>
      <c r="J47">
        <f t="shared" si="11"/>
        <v>-12.108868923442998</v>
      </c>
      <c r="K47">
        <f t="shared" si="11"/>
        <v>-14.104536289108166</v>
      </c>
      <c r="L47">
        <f t="shared" si="11"/>
        <v>-16.103344680582502</v>
      </c>
      <c r="M47">
        <f t="shared" si="11"/>
        <v>-18.334688278667976</v>
      </c>
      <c r="N47">
        <f t="shared" si="11"/>
        <v>-21.958361818109445</v>
      </c>
      <c r="O47">
        <f t="shared" si="11"/>
        <v>-25.943752451235731</v>
      </c>
    </row>
    <row r="48" spans="1:15">
      <c r="A48" s="5" t="s">
        <v>28</v>
      </c>
      <c r="B48">
        <f t="shared" ref="B48:O49" si="12">LOG10(B43/(1-B43))</f>
        <v>-6.9811516982341866</v>
      </c>
      <c r="C48">
        <f t="shared" si="12"/>
        <v>-5.4626377583562986</v>
      </c>
      <c r="D48" s="16">
        <f t="shared" si="12"/>
        <v>0.13505742756921343</v>
      </c>
      <c r="E48" s="16">
        <f t="shared" si="12"/>
        <v>2.1306926221668485</v>
      </c>
      <c r="F48" s="16">
        <f t="shared" si="12"/>
        <v>4.1263278167249231</v>
      </c>
      <c r="G48" s="16">
        <f t="shared" si="12"/>
        <v>6.1219625638306718</v>
      </c>
      <c r="H48" s="16">
        <f t="shared" si="12"/>
        <v>8.1132291011430659</v>
      </c>
      <c r="I48" s="16">
        <f t="shared" si="12"/>
        <v>8.1128033270278319</v>
      </c>
      <c r="J48" s="16">
        <f t="shared" si="12"/>
        <v>6.1215280534482801</v>
      </c>
      <c r="K48" s="16">
        <f t="shared" si="12"/>
        <v>4.1258933049555084</v>
      </c>
      <c r="L48" s="16">
        <f t="shared" si="12"/>
        <v>2.1302581103928215</v>
      </c>
      <c r="M48" s="16">
        <f t="shared" si="12"/>
        <v>0.13462291579519609</v>
      </c>
      <c r="N48">
        <f t="shared" si="12"/>
        <v>-1.8610122788023544</v>
      </c>
      <c r="O48">
        <f t="shared" si="12"/>
        <v>-3.8566474733999048</v>
      </c>
    </row>
    <row r="49" spans="1:15">
      <c r="A49" s="5" t="s">
        <v>29</v>
      </c>
      <c r="B49">
        <f t="shared" si="12"/>
        <v>-29.544883054677872</v>
      </c>
      <c r="C49">
        <f t="shared" si="12"/>
        <v>-21.951554125537097</v>
      </c>
      <c r="D49">
        <f t="shared" si="12"/>
        <v>-18.334069969566897</v>
      </c>
      <c r="E49">
        <f t="shared" si="12"/>
        <v>-16.102906974902698</v>
      </c>
      <c r="F49">
        <f t="shared" si="12"/>
        <v>-14.104101744836008</v>
      </c>
      <c r="G49">
        <f t="shared" si="12"/>
        <v>-12.10843441134069</v>
      </c>
      <c r="H49">
        <f t="shared" si="12"/>
        <v>-10.112798892095675</v>
      </c>
      <c r="I49">
        <f t="shared" si="12"/>
        <v>-8.1171636942188581</v>
      </c>
      <c r="J49">
        <f t="shared" si="12"/>
        <v>-6.1215284995881829</v>
      </c>
      <c r="K49">
        <f t="shared" si="12"/>
        <v>-4.1258933049902975</v>
      </c>
      <c r="L49">
        <f t="shared" si="12"/>
        <v>-2.1302581103927447</v>
      </c>
      <c r="M49">
        <f t="shared" si="12"/>
        <v>-0.13462291579519409</v>
      </c>
      <c r="N49" s="17">
        <f t="shared" si="12"/>
        <v>1.861012278802362</v>
      </c>
      <c r="O49" s="17">
        <f t="shared" si="12"/>
        <v>3.8566474733996241</v>
      </c>
    </row>
    <row r="51" spans="1:15">
      <c r="A51" s="5" t="s">
        <v>30</v>
      </c>
      <c r="B51" s="19" t="s">
        <v>27</v>
      </c>
      <c r="C51" s="19" t="s">
        <v>27</v>
      </c>
      <c r="D51" s="20" t="s">
        <v>28</v>
      </c>
      <c r="E51" s="20" t="s">
        <v>28</v>
      </c>
      <c r="F51" s="20" t="s">
        <v>28</v>
      </c>
      <c r="G51" s="20" t="s">
        <v>28</v>
      </c>
      <c r="H51" s="20" t="s">
        <v>28</v>
      </c>
      <c r="I51" s="20" t="s">
        <v>28</v>
      </c>
      <c r="J51" s="20" t="s">
        <v>28</v>
      </c>
      <c r="K51" s="20" t="s">
        <v>28</v>
      </c>
      <c r="L51" s="20" t="s">
        <v>28</v>
      </c>
      <c r="M51" s="20" t="s">
        <v>28</v>
      </c>
      <c r="N51" s="18" t="s">
        <v>29</v>
      </c>
      <c r="O51" s="18" t="s">
        <v>29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HIV-1</vt:lpstr>
      <vt:lpstr>HIV-2</vt:lpstr>
      <vt:lpstr>Haploid</vt:lpstr>
      <vt:lpstr>Haploid-log</vt:lpstr>
      <vt:lpstr>Haploid-N</vt:lpstr>
      <vt:lpstr>Diploid</vt:lpstr>
    </vt:vector>
  </TitlesOfParts>
  <Company>Waikato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 SCMS</dc:creator>
  <cp:lastModifiedBy>John Cleary</cp:lastModifiedBy>
  <dcterms:created xsi:type="dcterms:W3CDTF">2012-05-13T02:22:28Z</dcterms:created>
  <dcterms:modified xsi:type="dcterms:W3CDTF">2013-07-16T09:58:50Z</dcterms:modified>
</cp:coreProperties>
</file>